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jones\Desktop\"/>
    </mc:Choice>
  </mc:AlternateContent>
  <xr:revisionPtr revIDLastSave="0" documentId="13_ncr:1_{D52EB7DC-66BC-4DE8-B282-D9D42D28C8C9}" xr6:coauthVersionLast="41" xr6:coauthVersionMax="41" xr10:uidLastSave="{00000000-0000-0000-0000-000000000000}"/>
  <bookViews>
    <workbookView xWindow="-108" yWindow="-108" windowWidth="23256" windowHeight="12576" activeTab="1" xr2:uid="{417100EE-AF05-4E69-8087-D7AF6A7E0CF6}"/>
  </bookViews>
  <sheets>
    <sheet name="Grant Jones 2019 Plan to Goal" sheetId="1" r:id="rId1"/>
    <sheet name="Income Calculator" sheetId="3" r:id="rId2"/>
    <sheet name="Grant Success Metrics" sheetId="4" r:id="rId3"/>
    <sheet name="Pipeline Coverage" sheetId="5" r:id="rId4"/>
  </sheets>
  <externalReferences>
    <externalReference r:id="rId5"/>
  </externalReferences>
  <definedNames>
    <definedName name="M1_PayoutTable">'[1]Pay Mechanics'!$B$4:$D$7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5" l="1"/>
  <c r="B9" i="5"/>
  <c r="B3" i="5"/>
  <c r="R4" i="1"/>
  <c r="S4" i="1"/>
  <c r="S6" i="1" s="1"/>
  <c r="T4" i="1"/>
  <c r="T6" i="1" s="1"/>
  <c r="U4" i="1"/>
  <c r="U6" i="1" s="1"/>
  <c r="V4" i="1"/>
  <c r="V6" i="1" s="1"/>
  <c r="R6" i="1"/>
  <c r="Q4" i="1"/>
  <c r="Q6" i="1" s="1"/>
  <c r="E11" i="1"/>
  <c r="B15" i="1"/>
  <c r="B7" i="1"/>
  <c r="E20" i="1"/>
  <c r="E21" i="1" s="1"/>
  <c r="H21" i="1" s="1"/>
  <c r="B20" i="1"/>
  <c r="B23" i="1" s="1"/>
  <c r="B24" i="1" s="1"/>
  <c r="F17" i="1"/>
  <c r="E13" i="1"/>
  <c r="B13" i="1"/>
  <c r="E12" i="1" s="1"/>
  <c r="O4" i="1" s="1"/>
  <c r="O6" i="1" s="1"/>
  <c r="K12" i="1"/>
  <c r="K13" i="1" s="1"/>
  <c r="J12" i="1"/>
  <c r="J13" i="1" s="1"/>
  <c r="J14" i="1" s="1"/>
  <c r="J15" i="1" s="1"/>
  <c r="J16" i="1" s="1"/>
  <c r="M11" i="1"/>
  <c r="K4" i="1" l="1"/>
  <c r="K6" i="1" s="1"/>
  <c r="M4" i="1"/>
  <c r="M6" i="1" s="1"/>
  <c r="N4" i="1"/>
  <c r="N6" i="1" s="1"/>
  <c r="P4" i="1"/>
  <c r="P6" i="1" s="1"/>
  <c r="L4" i="1"/>
  <c r="L6" i="1" s="1"/>
  <c r="E14" i="1"/>
  <c r="H20" i="1" s="1"/>
  <c r="H22" i="1" s="1"/>
  <c r="M13" i="1"/>
  <c r="K14" i="1"/>
  <c r="M12" i="1"/>
  <c r="E24" i="1"/>
  <c r="E27" i="1" s="1"/>
  <c r="B5" i="1"/>
  <c r="B6" i="1" s="1"/>
  <c r="K15" i="1" l="1"/>
  <c r="M14" i="1"/>
  <c r="C29" i="3"/>
  <c r="D28" i="3"/>
  <c r="G28" i="3" s="1"/>
  <c r="D27" i="3"/>
  <c r="G27" i="3" s="1"/>
  <c r="D26" i="3"/>
  <c r="G26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D19" i="3"/>
  <c r="G19" i="3" s="1"/>
  <c r="D18" i="3"/>
  <c r="G18" i="3" s="1"/>
  <c r="D17" i="3"/>
  <c r="G17" i="3" s="1"/>
  <c r="C5" i="3"/>
  <c r="C8" i="3" s="1"/>
  <c r="D11" i="3" s="1"/>
  <c r="K16" i="1" l="1"/>
  <c r="M15" i="1"/>
  <c r="F18" i="3"/>
  <c r="F22" i="3"/>
  <c r="F26" i="3"/>
  <c r="F19" i="3"/>
  <c r="F27" i="3"/>
  <c r="D29" i="3"/>
  <c r="F25" i="3"/>
  <c r="F21" i="3"/>
  <c r="F17" i="3"/>
  <c r="E17" i="3" s="1"/>
  <c r="F28" i="3"/>
  <c r="F24" i="3"/>
  <c r="F20" i="3"/>
  <c r="F23" i="3"/>
  <c r="M16" i="1" l="1"/>
  <c r="K17" i="1"/>
  <c r="M17" i="1" s="1"/>
  <c r="E23" i="3"/>
  <c r="E19" i="3"/>
  <c r="E27" i="3"/>
  <c r="E20" i="3"/>
  <c r="E28" i="3"/>
  <c r="F29" i="3"/>
  <c r="E18" i="3"/>
  <c r="E21" i="3"/>
  <c r="E22" i="3"/>
  <c r="E24" i="3"/>
  <c r="E25" i="3"/>
  <c r="E26" i="3"/>
  <c r="E29" i="3" l="1"/>
  <c r="G29" i="3"/>
</calcChain>
</file>

<file path=xl/sharedStrings.xml><?xml version="1.0" encoding="utf-8"?>
<sst xmlns="http://schemas.openxmlformats.org/spreadsheetml/2006/main" count="117" uniqueCount="94">
  <si>
    <t>2019 Quota</t>
  </si>
  <si>
    <t>Base Salary</t>
  </si>
  <si>
    <t>Variable</t>
  </si>
  <si>
    <t>OTE</t>
  </si>
  <si>
    <t>Month</t>
  </si>
  <si>
    <t>1st Meetings Completed</t>
  </si>
  <si>
    <t>Actual Won Deals</t>
  </si>
  <si>
    <t>Won Deals</t>
  </si>
  <si>
    <t>Win %</t>
  </si>
  <si>
    <t>ASP</t>
  </si>
  <si>
    <t>Projected Revenue</t>
  </si>
  <si>
    <t>Actual Revenue</t>
  </si>
  <si>
    <t>Input Cells</t>
  </si>
  <si>
    <t>Formula Cells</t>
  </si>
  <si>
    <t>Name</t>
  </si>
  <si>
    <t>Role/Market</t>
  </si>
  <si>
    <t>Assoc Enterprise</t>
  </si>
  <si>
    <t>Target Total Cash</t>
  </si>
  <si>
    <t>% Base</t>
  </si>
  <si>
    <t>Variable Incentive</t>
  </si>
  <si>
    <t>Measure</t>
  </si>
  <si>
    <t>Weight</t>
  </si>
  <si>
    <t xml:space="preserve">Target Incentive </t>
  </si>
  <si>
    <t>Bookings</t>
  </si>
  <si>
    <t>Total Quota</t>
  </si>
  <si>
    <t>2019 Plan</t>
  </si>
  <si>
    <t>Quarter</t>
  </si>
  <si>
    <t>Attainment $</t>
  </si>
  <si>
    <t>Attainment % (YTD)</t>
  </si>
  <si>
    <t>Actual Payout Monthly $</t>
  </si>
  <si>
    <t>Actual Payout YTD $</t>
  </si>
  <si>
    <t>% of Target Incentive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</si>
  <si>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</si>
  <si>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</si>
  <si>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</si>
  <si>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</si>
  <si>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</si>
  <si>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</si>
  <si>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</si>
  <si>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</si>
  <si>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</si>
  <si>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</si>
  <si>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</si>
  <si>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</si>
  <si>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</si>
  <si>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Grant Jones</t>
  </si>
  <si>
    <t xml:space="preserve">Grant Jones  2019 Plan to Goal </t>
  </si>
  <si>
    <t>2018 Stats</t>
  </si>
  <si>
    <t>1H Projections</t>
  </si>
  <si>
    <t>Revenue</t>
  </si>
  <si>
    <t>Base</t>
  </si>
  <si>
    <t>Commission</t>
  </si>
  <si>
    <t>Total Comp</t>
  </si>
  <si>
    <t xml:space="preserve">1st Meetings Completed </t>
  </si>
  <si>
    <t>Win Rate</t>
  </si>
  <si>
    <t>Projected 1H Revenue</t>
  </si>
  <si>
    <t>Revenue Won</t>
  </si>
  <si>
    <t>2H Goals</t>
  </si>
  <si>
    <t>Annual Totals</t>
  </si>
  <si>
    <t>Monthly</t>
  </si>
  <si>
    <t>12 Month Success Plan</t>
  </si>
  <si>
    <t>New Opp Goal</t>
  </si>
  <si>
    <t>Total Accounts</t>
  </si>
  <si>
    <t>Penetration Rate</t>
  </si>
  <si>
    <t>New Qualified Opps</t>
  </si>
  <si>
    <t>New Wins</t>
  </si>
  <si>
    <t>1H Projected</t>
  </si>
  <si>
    <t>Projected 2H Revenue</t>
  </si>
  <si>
    <t>2H Projected</t>
  </si>
  <si>
    <t>Totals</t>
  </si>
  <si>
    <t>2019 Blended Projections</t>
  </si>
  <si>
    <t>Total Revenue</t>
  </si>
  <si>
    <t>New Opps Run Rate</t>
  </si>
  <si>
    <t>Win Rate %</t>
  </si>
  <si>
    <t>120% to Goal</t>
  </si>
  <si>
    <t>1st Meeting Completed Goal</t>
  </si>
  <si>
    <t>1st Meeting Completd  Actual</t>
  </si>
  <si>
    <t>New  Opps Added Goal</t>
  </si>
  <si>
    <t>New Opps Added Actual</t>
  </si>
  <si>
    <t>Pipeline Added Goal</t>
  </si>
  <si>
    <t>Pipeline Added Actual</t>
  </si>
  <si>
    <t>Total Pipeline Size Goal</t>
  </si>
  <si>
    <t>Total Pipeline Size Actual</t>
  </si>
  <si>
    <t>Revenue Goal</t>
  </si>
  <si>
    <t xml:space="preserve">Revenue Won </t>
  </si>
  <si>
    <t xml:space="preserve">Annual Goal </t>
  </si>
  <si>
    <t>Delta to Goal</t>
  </si>
  <si>
    <t xml:space="preserve">Current  Annual Pipeline </t>
  </si>
  <si>
    <t>Pipeline Coverage</t>
  </si>
  <si>
    <t>Quarterly Goal</t>
  </si>
  <si>
    <t>Quarterly Pipeline</t>
  </si>
  <si>
    <t>Monthly Goal</t>
  </si>
  <si>
    <t>Monthly Pipeline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</si>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</sst>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44" fontId="0" fillId="0" borderId="0" xfId="1" applyFont="1"/>
    <xf numFmtId="164" fontId="0" fillId="0" borderId="0" xfId="1" applyNumberFormat="1" applyFont="1"/>
    <xf numFmtId="17" fontId="0" fillId="0" borderId="0" xfId="0" applyNumberFormat="1"/>
    <xf numFmtId="37" fontId="0" fillId="0" borderId="0" xfId="1" applyNumberFormat="1" applyFont="1"/>
    <xf numFmtId="9" fontId="0" fillId="0" borderId="0" xfId="0" applyNumberFormat="1"/>
    <xf numFmtId="164" fontId="0" fillId="0" borderId="0" xfId="0" applyNumberFormat="1"/>
    <xf numFmtId="164" fontId="2" fillId="0" borderId="0" xfId="1" applyNumberFormat="1" applyFont="1"/>
    <xf numFmtId="164" fontId="2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2" fillId="3" borderId="3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2" fillId="3" borderId="1" xfId="0" applyFont="1" applyFill="1" applyBorder="1" applyAlignment="1">
      <alignment horizontal="left" vertical="center" wrapText="1"/>
    </xf>
    <xf numFmtId="6" fontId="4" fillId="0" borderId="1" xfId="0" applyNumberFormat="1" applyFont="1" applyFill="1" applyBorder="1" applyAlignment="1">
      <alignment horizontal="center"/>
    </xf>
    <xf numFmtId="9" fontId="4" fillId="2" borderId="1" xfId="0" applyNumberFormat="1" applyFont="1" applyFill="1" applyBorder="1" applyAlignment="1">
      <alignment horizontal="center"/>
    </xf>
    <xf numFmtId="6" fontId="4" fillId="2" borderId="1" xfId="0" applyNumberFormat="1" applyFont="1" applyFill="1" applyBorder="1" applyAlignment="1">
      <alignment horizontal="center"/>
    </xf>
    <xf numFmtId="6" fontId="0" fillId="0" borderId="1" xfId="0" applyNumberFormat="1" applyFont="1" applyFill="1" applyBorder="1" applyAlignment="1">
      <alignment horizontal="center"/>
    </xf>
    <xf numFmtId="6" fontId="0" fillId="0" borderId="1" xfId="0" applyNumberFormat="1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6" fontId="5" fillId="2" borderId="1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2" xfId="0" applyFont="1" applyBorder="1"/>
    <xf numFmtId="6" fontId="4" fillId="2" borderId="8" xfId="0" applyNumberFormat="1" applyFont="1" applyFill="1" applyBorder="1" applyAlignment="1">
      <alignment horizontal="center"/>
    </xf>
    <xf numFmtId="9" fontId="0" fillId="0" borderId="9" xfId="0" applyNumberFormat="1" applyBorder="1" applyAlignment="1">
      <alignment horizontal="center"/>
    </xf>
    <xf numFmtId="6" fontId="0" fillId="0" borderId="9" xfId="0" applyNumberForma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10" fontId="0" fillId="0" borderId="0" xfId="0" applyNumberFormat="1"/>
    <xf numFmtId="9" fontId="0" fillId="0" borderId="0" xfId="0" applyNumberFormat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0" fontId="2" fillId="0" borderId="1" xfId="0" applyFont="1" applyBorder="1"/>
    <xf numFmtId="6" fontId="2" fillId="0" borderId="3" xfId="0" applyNumberFormat="1" applyFont="1" applyBorder="1" applyAlignment="1">
      <alignment horizontal="center"/>
    </xf>
    <xf numFmtId="9" fontId="2" fillId="0" borderId="4" xfId="0" quotePrefix="1" applyNumberFormat="1" applyFont="1" applyBorder="1" applyAlignment="1">
      <alignment horizontal="center"/>
    </xf>
    <xf numFmtId="6" fontId="2" fillId="0" borderId="4" xfId="0" applyNumberFormat="1" applyFont="1" applyFill="1" applyBorder="1" applyAlignment="1">
      <alignment horizontal="center"/>
    </xf>
    <xf numFmtId="6" fontId="2" fillId="0" borderId="4" xfId="0" applyNumberFormat="1" applyFont="1" applyBorder="1" applyAlignment="1">
      <alignment horizontal="center"/>
    </xf>
    <xf numFmtId="9" fontId="2" fillId="0" borderId="2" xfId="0" applyNumberFormat="1" applyFont="1" applyFill="1" applyBorder="1" applyAlignment="1">
      <alignment horizontal="center"/>
    </xf>
    <xf numFmtId="0" fontId="6" fillId="0" borderId="0" xfId="0" applyFont="1"/>
    <xf numFmtId="10" fontId="0" fillId="0" borderId="0" xfId="3" applyNumberFormat="1" applyFont="1"/>
    <xf numFmtId="1" fontId="0" fillId="0" borderId="0" xfId="0" applyNumberFormat="1"/>
    <xf numFmtId="0" fontId="0" fillId="0" borderId="0" xfId="0" applyFont="1"/>
    <xf numFmtId="37" fontId="0" fillId="0" borderId="0" xfId="0" applyNumberFormat="1"/>
    <xf numFmtId="165" fontId="0" fillId="0" borderId="0" xfId="0" applyNumberFormat="1"/>
    <xf numFmtId="43" fontId="0" fillId="0" borderId="0" xfId="2" applyFont="1"/>
    <xf numFmtId="0" fontId="2" fillId="4" borderId="0" xfId="0" applyFont="1" applyFill="1"/>
    <xf numFmtId="164" fontId="2" fillId="4" borderId="0" xfId="0" applyNumberFormat="1" applyFont="1" applyFill="1"/>
    <xf numFmtId="17" fontId="0" fillId="5" borderId="0" xfId="0" applyNumberFormat="1" applyFill="1"/>
    <xf numFmtId="0" fontId="0" fillId="6" borderId="0" xfId="0" applyFill="1"/>
    <xf numFmtId="0" fontId="0" fillId="6" borderId="0" xfId="0" applyFont="1" applyFill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igherlogicllc-my.sharepoint.com/Users/ccocagne/Desktop/Copy%20of%20Comp%20Calcula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 MF"/>
      <sheetName val="Pay Mechanics"/>
    </sheetNames>
    <sheetDataSet>
      <sheetData sheetId="0"/>
      <sheetData sheetId="1">
        <row r="4">
          <cell r="B4">
            <v>0</v>
          </cell>
          <cell r="C4">
            <v>0</v>
          </cell>
          <cell r="D4">
            <v>0.5</v>
          </cell>
        </row>
        <row r="5">
          <cell r="B5">
            <v>0.25</v>
          </cell>
          <cell r="C5">
            <v>0.125</v>
          </cell>
          <cell r="D5">
            <v>1.1666666666666667</v>
          </cell>
        </row>
        <row r="6">
          <cell r="B6">
            <v>1</v>
          </cell>
          <cell r="C6">
            <v>1</v>
          </cell>
          <cell r="D6">
            <v>2</v>
          </cell>
        </row>
        <row r="7">
          <cell r="B7">
            <v>2</v>
          </cell>
          <cell r="C7">
            <v>3</v>
          </cell>
          <cell r="D7">
            <v>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599E2-A0D9-45E5-A3D4-48E7CFC292DB}">
  <dimension ref="A1:V27"/>
  <sheetViews>
    <sheetView workbookViewId="0">
      <selection activeCell="B27" sqref="B27"/>
    </sheetView>
  </sheetViews>
  <sheetFormatPr defaultRowHeight="14.4" x14ac:dyDescent="0.3"/>
  <cols>
    <col min="1" max="1" width="27.109375" bestFit="1" customWidth="1"/>
    <col min="2" max="2" width="10" bestFit="1" customWidth="1"/>
    <col min="4" max="4" width="22.5546875" bestFit="1" customWidth="1"/>
    <col min="5" max="5" width="12.5546875" bestFit="1" customWidth="1"/>
    <col min="6" max="6" width="8.109375" bestFit="1" customWidth="1"/>
    <col min="7" max="7" width="11.6640625" bestFit="1" customWidth="1"/>
    <col min="8" max="8" width="9.5546875" bestFit="1" customWidth="1"/>
    <col min="9" max="9" width="6.88671875" bestFit="1" customWidth="1"/>
    <col min="10" max="10" width="11" bestFit="1" customWidth="1"/>
    <col min="11" max="11" width="9.5546875" bestFit="1" customWidth="1"/>
    <col min="12" max="12" width="11.33203125" bestFit="1" customWidth="1"/>
    <col min="13" max="13" width="10.44140625" bestFit="1" customWidth="1"/>
    <col min="14" max="17" width="8.5546875" bestFit="1" customWidth="1"/>
    <col min="18" max="18" width="6.88671875" bestFit="1" customWidth="1"/>
    <col min="19" max="19" width="6.5546875" bestFit="1" customWidth="1"/>
    <col min="20" max="20" width="6.44140625" bestFit="1" customWidth="1"/>
    <col min="21" max="21" width="6.88671875" bestFit="1" customWidth="1"/>
    <col min="22" max="22" width="6.5546875" bestFit="1" customWidth="1"/>
  </cols>
  <sheetData>
    <row r="1" spans="1:22" x14ac:dyDescent="0.3">
      <c r="A1" s="1" t="s">
        <v>46</v>
      </c>
    </row>
    <row r="2" spans="1:22" x14ac:dyDescent="0.3">
      <c r="D2" t="s">
        <v>4</v>
      </c>
      <c r="E2" s="4">
        <v>43282</v>
      </c>
      <c r="F2" s="4">
        <v>43313</v>
      </c>
      <c r="G2" s="4">
        <v>43344</v>
      </c>
      <c r="H2" s="4">
        <v>43374</v>
      </c>
      <c r="I2" s="4">
        <v>43405</v>
      </c>
      <c r="J2" s="4">
        <v>43435</v>
      </c>
      <c r="K2" s="4">
        <v>43466</v>
      </c>
      <c r="L2" s="4">
        <v>43497</v>
      </c>
      <c r="M2" s="4">
        <v>43525</v>
      </c>
      <c r="N2" s="4">
        <v>43556</v>
      </c>
      <c r="O2" s="4">
        <v>43586</v>
      </c>
      <c r="P2" s="4">
        <v>43617</v>
      </c>
      <c r="Q2" s="4">
        <v>43647</v>
      </c>
      <c r="R2" s="4">
        <v>43678</v>
      </c>
      <c r="S2" s="4">
        <v>43709</v>
      </c>
      <c r="T2" s="4">
        <v>43739</v>
      </c>
      <c r="U2" s="4">
        <v>43770</v>
      </c>
      <c r="V2" s="4">
        <v>43800</v>
      </c>
    </row>
    <row r="3" spans="1:22" x14ac:dyDescent="0.3">
      <c r="A3" t="s">
        <v>0</v>
      </c>
      <c r="B3" s="3">
        <v>700000</v>
      </c>
      <c r="D3" t="s">
        <v>5</v>
      </c>
      <c r="E3">
        <v>9</v>
      </c>
      <c r="F3">
        <v>6</v>
      </c>
      <c r="G3">
        <v>8</v>
      </c>
      <c r="H3">
        <v>5</v>
      </c>
      <c r="I3">
        <v>5</v>
      </c>
      <c r="J3">
        <v>9</v>
      </c>
    </row>
    <row r="4" spans="1:22" x14ac:dyDescent="0.3">
      <c r="A4" t="s">
        <v>1</v>
      </c>
      <c r="B4" s="3">
        <v>84000</v>
      </c>
      <c r="D4" t="s">
        <v>7</v>
      </c>
      <c r="K4" s="56">
        <f t="shared" ref="K4:P4" si="0">E3*$E$12</f>
        <v>1.1688311688311688</v>
      </c>
      <c r="L4" s="56">
        <f t="shared" si="0"/>
        <v>0.77922077922077915</v>
      </c>
      <c r="M4" s="56">
        <f t="shared" si="0"/>
        <v>1.0389610389610389</v>
      </c>
      <c r="N4" s="56">
        <f t="shared" si="0"/>
        <v>0.64935064935064934</v>
      </c>
      <c r="O4" s="56">
        <f t="shared" si="0"/>
        <v>0.64935064935064934</v>
      </c>
      <c r="P4" s="56">
        <f t="shared" si="0"/>
        <v>1.1688311688311688</v>
      </c>
      <c r="Q4" s="56">
        <f t="shared" ref="Q4:V4" si="1">K3*$E$18</f>
        <v>0</v>
      </c>
      <c r="R4" s="56">
        <f t="shared" si="1"/>
        <v>0</v>
      </c>
      <c r="S4" s="56">
        <f t="shared" si="1"/>
        <v>0</v>
      </c>
      <c r="T4" s="56">
        <f t="shared" si="1"/>
        <v>0</v>
      </c>
      <c r="U4" s="56">
        <f t="shared" si="1"/>
        <v>0</v>
      </c>
      <c r="V4" s="56">
        <f t="shared" si="1"/>
        <v>0</v>
      </c>
    </row>
    <row r="5" spans="1:22" x14ac:dyDescent="0.3">
      <c r="A5" t="s">
        <v>2</v>
      </c>
      <c r="B5" s="3">
        <f>B4</f>
        <v>84000</v>
      </c>
      <c r="D5" t="s">
        <v>6</v>
      </c>
    </row>
    <row r="6" spans="1:22" x14ac:dyDescent="0.3">
      <c r="A6" t="s">
        <v>3</v>
      </c>
      <c r="B6" s="3">
        <f>SUM(B4:B5)</f>
        <v>168000</v>
      </c>
      <c r="D6" t="s">
        <v>10</v>
      </c>
      <c r="K6" s="7">
        <f t="shared" ref="K6:P6" si="2">K4*$E$13</f>
        <v>52754.025974025972</v>
      </c>
      <c r="L6" s="7">
        <f t="shared" si="2"/>
        <v>35169.350649350643</v>
      </c>
      <c r="M6" s="7">
        <f t="shared" si="2"/>
        <v>46892.467532467526</v>
      </c>
      <c r="N6" s="7">
        <f t="shared" si="2"/>
        <v>29307.792207792209</v>
      </c>
      <c r="O6" s="7">
        <f t="shared" si="2"/>
        <v>29307.792207792209</v>
      </c>
      <c r="P6" s="7">
        <f t="shared" si="2"/>
        <v>52754.025974025972</v>
      </c>
      <c r="Q6" s="7">
        <f t="shared" ref="Q6:V6" si="3">Q4*$E$19</f>
        <v>0</v>
      </c>
      <c r="R6" s="7">
        <f t="shared" si="3"/>
        <v>0</v>
      </c>
      <c r="S6" s="7">
        <f t="shared" si="3"/>
        <v>0</v>
      </c>
      <c r="T6" s="7">
        <f t="shared" si="3"/>
        <v>0</v>
      </c>
      <c r="U6" s="7">
        <f t="shared" si="3"/>
        <v>0</v>
      </c>
      <c r="V6" s="7">
        <f t="shared" si="3"/>
        <v>0</v>
      </c>
    </row>
    <row r="7" spans="1:22" x14ac:dyDescent="0.3">
      <c r="A7" t="s">
        <v>74</v>
      </c>
      <c r="B7" s="3">
        <f>B3*1.2</f>
        <v>840000</v>
      </c>
      <c r="D7" t="s">
        <v>11</v>
      </c>
    </row>
    <row r="8" spans="1:22" x14ac:dyDescent="0.3">
      <c r="B8" s="3"/>
    </row>
    <row r="9" spans="1:22" x14ac:dyDescent="0.3">
      <c r="B9" s="5"/>
    </row>
    <row r="10" spans="1:22" ht="17.399999999999999" customHeight="1" x14ac:dyDescent="0.3">
      <c r="A10" s="50" t="s">
        <v>47</v>
      </c>
      <c r="D10" s="1" t="s">
        <v>48</v>
      </c>
      <c r="J10" s="1" t="s">
        <v>49</v>
      </c>
      <c r="K10" s="1" t="s">
        <v>50</v>
      </c>
      <c r="L10" s="1" t="s">
        <v>51</v>
      </c>
      <c r="M10" s="1" t="s">
        <v>52</v>
      </c>
    </row>
    <row r="11" spans="1:22" x14ac:dyDescent="0.3">
      <c r="A11" t="s">
        <v>53</v>
      </c>
      <c r="B11">
        <v>77</v>
      </c>
      <c r="D11" t="s">
        <v>5</v>
      </c>
      <c r="E11" s="5">
        <f>SUM(E3:J3)</f>
        <v>42</v>
      </c>
      <c r="J11" s="3">
        <v>400000</v>
      </c>
      <c r="K11" s="3">
        <v>84000</v>
      </c>
      <c r="L11" s="3">
        <v>42000</v>
      </c>
      <c r="M11" s="7">
        <f t="shared" ref="M11:M17" si="4">K11+L11</f>
        <v>126000</v>
      </c>
    </row>
    <row r="12" spans="1:22" x14ac:dyDescent="0.3">
      <c r="A12" t="s">
        <v>7</v>
      </c>
      <c r="B12">
        <v>10</v>
      </c>
      <c r="D12" t="s">
        <v>8</v>
      </c>
      <c r="E12" s="6">
        <f>B13</f>
        <v>0.12987012987012986</v>
      </c>
      <c r="G12" s="6"/>
      <c r="J12" s="7">
        <f>J11+100000</f>
        <v>500000</v>
      </c>
      <c r="K12" s="3">
        <f>K11</f>
        <v>84000</v>
      </c>
      <c r="L12" s="3">
        <v>56000</v>
      </c>
      <c r="M12" s="7">
        <f t="shared" si="4"/>
        <v>140000</v>
      </c>
    </row>
    <row r="13" spans="1:22" x14ac:dyDescent="0.3">
      <c r="A13" t="s">
        <v>54</v>
      </c>
      <c r="B13" s="51">
        <f>B12/B11</f>
        <v>0.12987012987012986</v>
      </c>
      <c r="D13" t="s">
        <v>9</v>
      </c>
      <c r="E13" s="3">
        <f>B14</f>
        <v>45134</v>
      </c>
      <c r="J13" s="7">
        <f>J12+100000</f>
        <v>600000</v>
      </c>
      <c r="K13" s="3">
        <f t="shared" ref="K13:K17" si="5">K12</f>
        <v>84000</v>
      </c>
      <c r="L13" s="3">
        <v>70000</v>
      </c>
      <c r="M13" s="7">
        <f t="shared" si="4"/>
        <v>154000</v>
      </c>
    </row>
    <row r="14" spans="1:22" x14ac:dyDescent="0.3">
      <c r="A14" t="s">
        <v>9</v>
      </c>
      <c r="B14" s="3">
        <v>45134</v>
      </c>
      <c r="D14" s="57" t="s">
        <v>55</v>
      </c>
      <c r="E14" s="58">
        <f>E11*E12*E13</f>
        <v>246185.45454545453</v>
      </c>
      <c r="G14" s="6"/>
      <c r="J14" s="7">
        <f>J13+100000</f>
        <v>700000</v>
      </c>
      <c r="K14" s="3">
        <f t="shared" si="5"/>
        <v>84000</v>
      </c>
      <c r="L14" s="3">
        <v>84000</v>
      </c>
      <c r="M14" s="7">
        <f t="shared" si="4"/>
        <v>168000</v>
      </c>
    </row>
    <row r="15" spans="1:22" x14ac:dyDescent="0.3">
      <c r="A15" s="1" t="s">
        <v>56</v>
      </c>
      <c r="B15" s="8">
        <f>B14*B12</f>
        <v>451340</v>
      </c>
      <c r="F15" s="2"/>
      <c r="J15" s="7">
        <f>J14+100000</f>
        <v>800000</v>
      </c>
      <c r="K15" s="3">
        <f t="shared" si="5"/>
        <v>84000</v>
      </c>
      <c r="L15" s="3">
        <v>108000</v>
      </c>
      <c r="M15" s="7">
        <f t="shared" si="4"/>
        <v>192000</v>
      </c>
    </row>
    <row r="16" spans="1:22" x14ac:dyDescent="0.3">
      <c r="D16" s="1" t="s">
        <v>57</v>
      </c>
      <c r="E16" s="1" t="s">
        <v>58</v>
      </c>
      <c r="F16" s="1" t="s">
        <v>59</v>
      </c>
      <c r="G16" s="1"/>
      <c r="H16" s="1"/>
      <c r="J16" s="7">
        <f>J15+100000</f>
        <v>900000</v>
      </c>
      <c r="K16" s="3">
        <f t="shared" si="5"/>
        <v>84000</v>
      </c>
      <c r="L16" s="3">
        <v>132000</v>
      </c>
      <c r="M16" s="7">
        <f t="shared" si="4"/>
        <v>216000</v>
      </c>
    </row>
    <row r="17" spans="1:13" x14ac:dyDescent="0.3">
      <c r="A17" s="50" t="s">
        <v>60</v>
      </c>
      <c r="D17" t="s">
        <v>61</v>
      </c>
      <c r="E17">
        <v>45</v>
      </c>
      <c r="F17" s="52">
        <f>E17/6</f>
        <v>7.5</v>
      </c>
      <c r="J17" s="7">
        <v>1000000</v>
      </c>
      <c r="K17" s="3">
        <f t="shared" si="5"/>
        <v>84000</v>
      </c>
      <c r="L17" s="3">
        <v>156000</v>
      </c>
      <c r="M17" s="7">
        <f t="shared" si="4"/>
        <v>240000</v>
      </c>
    </row>
    <row r="18" spans="1:13" x14ac:dyDescent="0.3">
      <c r="A18" t="s">
        <v>62</v>
      </c>
      <c r="B18">
        <v>320</v>
      </c>
      <c r="D18" s="1" t="s">
        <v>8</v>
      </c>
      <c r="E18" s="6">
        <v>0.22</v>
      </c>
    </row>
    <row r="19" spans="1:13" x14ac:dyDescent="0.3">
      <c r="A19" t="s">
        <v>63</v>
      </c>
      <c r="B19" s="6">
        <v>0.22</v>
      </c>
      <c r="D19" t="s">
        <v>9</v>
      </c>
      <c r="E19" s="3">
        <v>60000</v>
      </c>
      <c r="H19" s="7"/>
      <c r="I19" s="3"/>
      <c r="J19" s="3"/>
      <c r="K19" s="7"/>
    </row>
    <row r="20" spans="1:13" x14ac:dyDescent="0.3">
      <c r="A20" t="s">
        <v>64</v>
      </c>
      <c r="B20">
        <f>B18*B19</f>
        <v>70.400000000000006</v>
      </c>
      <c r="D20" s="53" t="s">
        <v>65</v>
      </c>
      <c r="E20">
        <f>E17*E18</f>
        <v>9.9</v>
      </c>
      <c r="G20" t="s">
        <v>66</v>
      </c>
      <c r="H20" s="7">
        <f>E14</f>
        <v>246185.45454545453</v>
      </c>
    </row>
    <row r="21" spans="1:13" x14ac:dyDescent="0.3">
      <c r="A21" t="s">
        <v>8</v>
      </c>
      <c r="B21" s="6">
        <v>0.2</v>
      </c>
      <c r="D21" s="1" t="s">
        <v>67</v>
      </c>
      <c r="E21" s="9">
        <f>E19*E20</f>
        <v>594000</v>
      </c>
      <c r="G21" t="s">
        <v>68</v>
      </c>
      <c r="H21" s="7">
        <f>E21</f>
        <v>594000</v>
      </c>
    </row>
    <row r="22" spans="1:13" x14ac:dyDescent="0.3">
      <c r="A22" t="s">
        <v>9</v>
      </c>
      <c r="B22" s="3">
        <v>60000</v>
      </c>
      <c r="G22" s="1" t="s">
        <v>69</v>
      </c>
      <c r="H22" s="9">
        <f>SUM(H20:H21)</f>
        <v>840185.45454545459</v>
      </c>
    </row>
    <row r="23" spans="1:13" x14ac:dyDescent="0.3">
      <c r="A23" t="s">
        <v>65</v>
      </c>
      <c r="B23" s="52">
        <f>B20*B21</f>
        <v>14.080000000000002</v>
      </c>
      <c r="D23" s="1" t="s">
        <v>70</v>
      </c>
    </row>
    <row r="24" spans="1:13" x14ac:dyDescent="0.3">
      <c r="A24" s="1" t="s">
        <v>71</v>
      </c>
      <c r="B24" s="8">
        <f>B22*B23</f>
        <v>844800.00000000012</v>
      </c>
      <c r="D24" t="s">
        <v>72</v>
      </c>
      <c r="E24" s="54">
        <f>SUM(E11+E17)</f>
        <v>87</v>
      </c>
    </row>
    <row r="25" spans="1:13" x14ac:dyDescent="0.3">
      <c r="D25" t="s">
        <v>73</v>
      </c>
      <c r="E25" s="55">
        <v>0.19</v>
      </c>
    </row>
    <row r="26" spans="1:13" x14ac:dyDescent="0.3">
      <c r="D26" t="s">
        <v>9</v>
      </c>
      <c r="E26" s="3">
        <v>51000</v>
      </c>
    </row>
    <row r="27" spans="1:13" x14ac:dyDescent="0.3">
      <c r="D27" s="1" t="s">
        <v>49</v>
      </c>
      <c r="E27" s="9">
        <f>E24*E25*E26</f>
        <v>843030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A4E67-4CB1-4F53-97DB-2B36AAD3A179}">
  <dimension ref="B1:H30"/>
  <sheetViews>
    <sheetView tabSelected="1" topLeftCell="A9" workbookViewId="0">
      <selection activeCell="L32" sqref="L32"/>
    </sheetView>
  </sheetViews>
  <sheetFormatPr defaultRowHeight="14.4" x14ac:dyDescent="0.3"/>
  <cols>
    <col min="1" max="1" width="1.5546875" customWidth="1"/>
    <col min="2" max="2" width="25.109375" bestFit="1" customWidth="1"/>
    <col min="3" max="4" width="15.5546875" customWidth="1"/>
    <col min="5" max="6" width="18.109375" customWidth="1"/>
    <col min="7" max="7" width="15.5546875" customWidth="1"/>
    <col min="8" max="8" width="13.5546875" customWidth="1"/>
    <col min="9" max="9" width="12.5546875" bestFit="1" customWidth="1"/>
  </cols>
  <sheetData>
    <row r="1" spans="2:7" x14ac:dyDescent="0.3">
      <c r="F1" s="10" t="s">
        <v>12</v>
      </c>
      <c r="G1" s="11" t="s">
        <v>13</v>
      </c>
    </row>
    <row r="2" spans="2:7" x14ac:dyDescent="0.3">
      <c r="B2" s="12" t="s">
        <v>14</v>
      </c>
      <c r="C2" s="62" t="s">
        <v>45</v>
      </c>
      <c r="D2" s="63"/>
      <c r="E2" s="64"/>
      <c r="G2" s="13"/>
    </row>
    <row r="3" spans="2:7" x14ac:dyDescent="0.3">
      <c r="B3" s="14" t="s">
        <v>15</v>
      </c>
      <c r="C3" s="63" t="s">
        <v>16</v>
      </c>
      <c r="D3" s="63"/>
      <c r="E3" s="64"/>
      <c r="G3" s="15"/>
    </row>
    <row r="4" spans="2:7" x14ac:dyDescent="0.3">
      <c r="B4" s="16"/>
      <c r="C4" s="17"/>
      <c r="D4" s="18"/>
      <c r="E4" s="18"/>
      <c r="G4" s="15"/>
    </row>
    <row r="5" spans="2:7" x14ac:dyDescent="0.3">
      <c r="B5" s="19" t="s">
        <v>17</v>
      </c>
      <c r="C5" s="20">
        <f>C7/C6</f>
        <v>168000</v>
      </c>
      <c r="D5" s="18"/>
      <c r="E5" s="18"/>
      <c r="G5" s="15"/>
    </row>
    <row r="6" spans="2:7" x14ac:dyDescent="0.3">
      <c r="B6" s="19" t="s">
        <v>18</v>
      </c>
      <c r="C6" s="21">
        <v>0.5</v>
      </c>
      <c r="D6" s="18"/>
      <c r="E6" s="18"/>
      <c r="G6" s="15"/>
    </row>
    <row r="7" spans="2:7" x14ac:dyDescent="0.3">
      <c r="B7" s="19" t="s">
        <v>1</v>
      </c>
      <c r="C7" s="22">
        <v>84000</v>
      </c>
      <c r="D7" s="18"/>
      <c r="E7" s="18"/>
      <c r="G7" s="15"/>
    </row>
    <row r="8" spans="2:7" x14ac:dyDescent="0.3">
      <c r="B8" s="19" t="s">
        <v>19</v>
      </c>
      <c r="C8" s="23">
        <f>C5-C7</f>
        <v>84000</v>
      </c>
      <c r="D8" s="18"/>
      <c r="E8" s="18"/>
      <c r="G8" s="15"/>
    </row>
    <row r="9" spans="2:7" x14ac:dyDescent="0.3">
      <c r="B9" s="16"/>
      <c r="C9" s="18"/>
      <c r="D9" s="18"/>
      <c r="E9" s="18"/>
      <c r="G9" s="15"/>
    </row>
    <row r="10" spans="2:7" x14ac:dyDescent="0.3">
      <c r="B10" s="19" t="s">
        <v>20</v>
      </c>
      <c r="C10" s="12" t="s">
        <v>21</v>
      </c>
      <c r="D10" s="12" t="s">
        <v>22</v>
      </c>
      <c r="E10" s="18"/>
      <c r="G10" s="15"/>
    </row>
    <row r="11" spans="2:7" x14ac:dyDescent="0.3">
      <c r="B11" s="19" t="s">
        <v>23</v>
      </c>
      <c r="C11" s="21">
        <v>1</v>
      </c>
      <c r="D11" s="24">
        <f>IFERROR(C8*C11,"--")</f>
        <v>84000</v>
      </c>
      <c r="E11" s="18"/>
      <c r="G11" s="15"/>
    </row>
    <row r="12" spans="2:7" x14ac:dyDescent="0.3">
      <c r="B12" s="25"/>
      <c r="C12" s="26"/>
      <c r="D12" s="26"/>
      <c r="E12" s="18"/>
      <c r="G12" s="15"/>
    </row>
    <row r="13" spans="2:7" x14ac:dyDescent="0.3">
      <c r="B13" s="14" t="s">
        <v>24</v>
      </c>
      <c r="C13" s="27">
        <v>700000</v>
      </c>
      <c r="D13" s="18"/>
      <c r="E13" s="18"/>
      <c r="G13" s="15"/>
    </row>
    <row r="14" spans="2:7" x14ac:dyDescent="0.3">
      <c r="B14" s="16"/>
      <c r="C14" s="18"/>
      <c r="D14" s="18"/>
      <c r="E14" s="18"/>
      <c r="G14" s="15"/>
    </row>
    <row r="15" spans="2:7" ht="15" customHeight="1" x14ac:dyDescent="0.3">
      <c r="B15" s="16"/>
      <c r="C15" s="28" t="s">
        <v>25</v>
      </c>
      <c r="D15" s="29"/>
      <c r="E15" s="29"/>
      <c r="F15" s="29"/>
      <c r="G15" s="30"/>
    </row>
    <row r="16" spans="2:7" s="35" customFormat="1" ht="39.9" customHeight="1" x14ac:dyDescent="0.3">
      <c r="B16" s="19" t="s">
        <v>26</v>
      </c>
      <c r="C16" s="31" t="s">
        <v>27</v>
      </c>
      <c r="D16" s="32" t="s">
        <v>28</v>
      </c>
      <c r="E16" s="33" t="s">
        <v>29</v>
      </c>
      <c r="F16" s="32" t="s">
        <v>30</v>
      </c>
      <c r="G16" s="34" t="s">
        <v>31</v>
      </c>
    </row>
    <row r="17" spans="2:8" x14ac:dyDescent="0.3">
      <c r="B17" s="36" t="s">
        <v>32</v>
      </c>
      <c r="C17" s="37">
        <v>34000</v>
      </c>
      <c r="D17" s="38">
        <f>IFERROR(SUM($C$17:C17)/($C$13),"--")</f>
        <v>4.8571428571428571E-2</v>
      </c>
      <c r="E17" s="39">
        <f>F17</f>
        <v>2040</v>
      </c>
      <c r="F17" s="39">
        <f>IFERROR(G17*$D$11,"--")</f>
        <v>2040</v>
      </c>
      <c r="G17" s="40">
        <f t="shared" ref="G17:G28" si="0">IFERROR((VLOOKUP(D17,M1_PayoutTable,2,TRUE)+((D17-VLOOKUP(D17,M1_PayoutTable,1,TRUE))*VLOOKUP(D17,M1_PayoutTable,3,TRUE))),"--")</f>
        <v>2.4285714285714285E-2</v>
      </c>
      <c r="H17" s="41"/>
    </row>
    <row r="18" spans="2:8" x14ac:dyDescent="0.3">
      <c r="B18" s="36" t="s">
        <v>33</v>
      </c>
      <c r="C18" s="37">
        <v>9000</v>
      </c>
      <c r="D18" s="42">
        <f>IFERROR(SUM($C$17:C18)/($C$13),"--")</f>
        <v>6.142857142857143E-2</v>
      </c>
      <c r="E18" s="43">
        <f>F18-F17</f>
        <v>540</v>
      </c>
      <c r="F18" s="43">
        <f>IFERROR(G18*$D$11,"--")</f>
        <v>2580</v>
      </c>
      <c r="G18" s="40">
        <f t="shared" si="0"/>
        <v>3.0714285714285715E-2</v>
      </c>
      <c r="H18" s="41"/>
    </row>
    <row r="19" spans="2:8" x14ac:dyDescent="0.3">
      <c r="B19" s="36" t="s">
        <v>34</v>
      </c>
      <c r="C19" s="37">
        <v>0</v>
      </c>
      <c r="D19" s="42">
        <f>IFERROR(SUM($C$17:C19)/($C$13),"--")</f>
        <v>6.142857142857143E-2</v>
      </c>
      <c r="E19" s="43">
        <f t="shared" ref="E19:E28" si="1">F19-F18</f>
        <v>0</v>
      </c>
      <c r="F19" s="43">
        <f>IFERROR(G19*$D$11,"--")</f>
        <v>2580</v>
      </c>
      <c r="G19" s="40">
        <f t="shared" si="0"/>
        <v>3.0714285714285715E-2</v>
      </c>
      <c r="H19" s="41"/>
    </row>
    <row r="20" spans="2:8" x14ac:dyDescent="0.3">
      <c r="B20" s="36" t="s">
        <v>35</v>
      </c>
      <c r="C20" s="37">
        <v>148000</v>
      </c>
      <c r="D20" s="42">
        <f>IFERROR(SUM($C$17:C20)/($C$13),"--")</f>
        <v>0.27285714285714285</v>
      </c>
      <c r="E20" s="43">
        <f t="shared" si="1"/>
        <v>10160</v>
      </c>
      <c r="F20" s="43">
        <f t="shared" ref="F20:F27" si="2">IFERROR(G20*$D$11,"--")</f>
        <v>12740</v>
      </c>
      <c r="G20" s="40">
        <f t="shared" si="0"/>
        <v>0.15166666666666667</v>
      </c>
      <c r="H20" s="41"/>
    </row>
    <row r="21" spans="2:8" x14ac:dyDescent="0.3">
      <c r="B21" s="36" t="s">
        <v>36</v>
      </c>
      <c r="C21" s="37">
        <v>175000</v>
      </c>
      <c r="D21" s="42">
        <f>IFERROR(SUM($C$17:C21)/($C$13),"--")</f>
        <v>0.52285714285714291</v>
      </c>
      <c r="E21" s="43">
        <f t="shared" si="1"/>
        <v>24500.000000000007</v>
      </c>
      <c r="F21" s="43">
        <f t="shared" si="2"/>
        <v>37240.000000000007</v>
      </c>
      <c r="G21" s="40">
        <f t="shared" si="0"/>
        <v>0.44333333333333341</v>
      </c>
      <c r="H21" s="41"/>
    </row>
    <row r="22" spans="2:8" x14ac:dyDescent="0.3">
      <c r="B22" s="36" t="s">
        <v>37</v>
      </c>
      <c r="C22" s="37">
        <v>8000</v>
      </c>
      <c r="D22" s="42">
        <f>IFERROR(SUM($C$17:C22)/($C$13),"--")</f>
        <v>0.53428571428571425</v>
      </c>
      <c r="E22" s="43">
        <f t="shared" si="1"/>
        <v>1119.9999999999927</v>
      </c>
      <c r="F22" s="43">
        <f t="shared" si="2"/>
        <v>38360</v>
      </c>
      <c r="G22" s="40">
        <f t="shared" si="0"/>
        <v>0.45666666666666667</v>
      </c>
      <c r="H22" s="41"/>
    </row>
    <row r="23" spans="2:8" x14ac:dyDescent="0.3">
      <c r="B23" s="36" t="s">
        <v>38</v>
      </c>
      <c r="C23" s="37">
        <v>117000</v>
      </c>
      <c r="D23" s="42">
        <f>IFERROR(SUM($C$17:C23)/($C$13),"--")</f>
        <v>0.7014285714285714</v>
      </c>
      <c r="E23" s="43">
        <f t="shared" si="1"/>
        <v>16379.999999999993</v>
      </c>
      <c r="F23" s="43">
        <f t="shared" si="2"/>
        <v>54739.999999999993</v>
      </c>
      <c r="G23" s="40">
        <f t="shared" si="0"/>
        <v>0.65166666666666662</v>
      </c>
      <c r="H23" s="41"/>
    </row>
    <row r="24" spans="2:8" x14ac:dyDescent="0.3">
      <c r="B24" s="36" t="s">
        <v>39</v>
      </c>
      <c r="C24" s="37">
        <v>0</v>
      </c>
      <c r="D24" s="42">
        <f>IFERROR(SUM($C$17:C24)/($C$13),"--")</f>
        <v>0.7014285714285714</v>
      </c>
      <c r="E24" s="43">
        <f t="shared" si="1"/>
        <v>0</v>
      </c>
      <c r="F24" s="43">
        <f t="shared" si="2"/>
        <v>54739.999999999993</v>
      </c>
      <c r="G24" s="40">
        <f t="shared" si="0"/>
        <v>0.65166666666666662</v>
      </c>
      <c r="H24" s="41"/>
    </row>
    <row r="25" spans="2:8" x14ac:dyDescent="0.3">
      <c r="B25" s="36" t="s">
        <v>40</v>
      </c>
      <c r="C25" s="37">
        <v>385000</v>
      </c>
      <c r="D25" s="42">
        <f>IFERROR(SUM($C$17:C25)/($C$13),"--")</f>
        <v>1.2514285714285713</v>
      </c>
      <c r="E25" s="43">
        <f t="shared" si="1"/>
        <v>71500</v>
      </c>
      <c r="F25" s="43">
        <f t="shared" si="2"/>
        <v>126239.99999999999</v>
      </c>
      <c r="G25" s="40">
        <f t="shared" si="0"/>
        <v>1.5028571428571427</v>
      </c>
      <c r="H25" s="41"/>
    </row>
    <row r="26" spans="2:8" x14ac:dyDescent="0.3">
      <c r="B26" s="36" t="s">
        <v>41</v>
      </c>
      <c r="C26" s="37"/>
      <c r="D26" s="42">
        <f>IFERROR(SUM($C$17:C26)/($C$13),"--")</f>
        <v>1.2514285714285713</v>
      </c>
      <c r="E26" s="43">
        <f t="shared" si="1"/>
        <v>0</v>
      </c>
      <c r="F26" s="43">
        <f t="shared" si="2"/>
        <v>126239.99999999999</v>
      </c>
      <c r="G26" s="40">
        <f t="shared" si="0"/>
        <v>1.5028571428571427</v>
      </c>
      <c r="H26" s="41"/>
    </row>
    <row r="27" spans="2:8" x14ac:dyDescent="0.3">
      <c r="B27" s="36" t="s">
        <v>42</v>
      </c>
      <c r="C27" s="37"/>
      <c r="D27" s="42">
        <f>IFERROR(SUM($C$17:C27)/($C$13),"--")</f>
        <v>1.2514285714285713</v>
      </c>
      <c r="E27" s="43">
        <f t="shared" si="1"/>
        <v>0</v>
      </c>
      <c r="F27" s="43">
        <f t="shared" si="2"/>
        <v>126239.99999999999</v>
      </c>
      <c r="G27" s="40">
        <f t="shared" si="0"/>
        <v>1.5028571428571427</v>
      </c>
      <c r="H27" s="41"/>
    </row>
    <row r="28" spans="2:8" x14ac:dyDescent="0.3">
      <c r="B28" s="36" t="s">
        <v>43</v>
      </c>
      <c r="C28" s="37"/>
      <c r="D28" s="42">
        <f>IFERROR(SUM($C$17:C28)/($C$13),"--")</f>
        <v>1.2514285714285713</v>
      </c>
      <c r="E28" s="43">
        <f t="shared" si="1"/>
        <v>0</v>
      </c>
      <c r="F28" s="43">
        <f>IFERROR(G28*$D$11,"--")</f>
        <v>126239.99999999999</v>
      </c>
      <c r="G28" s="40">
        <f t="shared" si="0"/>
        <v>1.5028571428571427</v>
      </c>
      <c r="H28" s="41"/>
    </row>
    <row r="29" spans="2:8" s="1" customFormat="1" x14ac:dyDescent="0.3">
      <c r="B29" s="44" t="s">
        <v>44</v>
      </c>
      <c r="C29" s="45">
        <f>SUM(C17:C28)</f>
        <v>876000</v>
      </c>
      <c r="D29" s="46">
        <f>IFERROR(C29/$C$13,"--")</f>
        <v>1.2514285714285713</v>
      </c>
      <c r="E29" s="47">
        <f>IFERROR(SUM(E17:E28),"--")</f>
        <v>126240</v>
      </c>
      <c r="F29" s="48">
        <f>F28</f>
        <v>126239.99999999999</v>
      </c>
      <c r="G29" s="49">
        <f>F29/$D$11</f>
        <v>1.5028571428571427</v>
      </c>
    </row>
    <row r="30" spans="2:8" x14ac:dyDescent="0.3">
      <c r="B30" s="25"/>
      <c r="C30" s="26"/>
      <c r="D30" s="26"/>
      <c r="E30" s="26"/>
      <c r="F30" s="26"/>
      <c r="G30" s="15"/>
    </row>
  </sheetData>
  <mergeCells count="2">
    <mergeCell ref="C2:E2"/>
    <mergeCell ref="C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D264B-06F6-4186-81E7-75AF6157A4A1}">
  <dimension ref="A2:M24"/>
  <sheetViews>
    <sheetView workbookViewId="0">
      <selection activeCell="F25" sqref="F25"/>
    </sheetView>
  </sheetViews>
  <sheetFormatPr defaultRowHeight="14.4" x14ac:dyDescent="0.3"/>
  <cols>
    <col min="1" max="1" width="26.33203125" bestFit="1" customWidth="1"/>
    <col min="2" max="4" width="12.21875" bestFit="1" customWidth="1"/>
  </cols>
  <sheetData>
    <row r="2" spans="1:13" x14ac:dyDescent="0.3">
      <c r="A2" s="60" t="s">
        <v>4</v>
      </c>
      <c r="B2" s="59">
        <v>43466</v>
      </c>
      <c r="C2" s="59">
        <v>43497</v>
      </c>
      <c r="D2" s="59">
        <v>43525</v>
      </c>
      <c r="E2" s="59">
        <v>43556</v>
      </c>
      <c r="F2" s="59">
        <v>43586</v>
      </c>
      <c r="G2" s="59">
        <v>43617</v>
      </c>
      <c r="H2" s="59">
        <v>43647</v>
      </c>
      <c r="I2" s="59">
        <v>43678</v>
      </c>
      <c r="J2" s="59">
        <v>43709</v>
      </c>
      <c r="K2" s="59">
        <v>43739</v>
      </c>
      <c r="L2" s="59">
        <v>43770</v>
      </c>
      <c r="M2" s="59">
        <v>43800</v>
      </c>
    </row>
    <row r="3" spans="1:13" x14ac:dyDescent="0.3">
      <c r="A3" s="61" t="s">
        <v>75</v>
      </c>
      <c r="B3">
        <v>10</v>
      </c>
      <c r="C3">
        <v>10</v>
      </c>
    </row>
    <row r="4" spans="1:13" x14ac:dyDescent="0.3">
      <c r="A4" s="60" t="s">
        <v>76</v>
      </c>
      <c r="B4">
        <v>3</v>
      </c>
      <c r="C4">
        <v>10</v>
      </c>
    </row>
    <row r="5" spans="1:13" x14ac:dyDescent="0.3">
      <c r="A5" s="60"/>
    </row>
    <row r="6" spans="1:13" x14ac:dyDescent="0.3">
      <c r="A6" s="60" t="s">
        <v>4</v>
      </c>
      <c r="B6" s="59">
        <v>43466</v>
      </c>
      <c r="C6" s="59">
        <v>43497</v>
      </c>
      <c r="D6" s="59">
        <v>43525</v>
      </c>
      <c r="E6" s="59">
        <v>43556</v>
      </c>
      <c r="F6" s="59">
        <v>43586</v>
      </c>
      <c r="G6" s="59">
        <v>43617</v>
      </c>
      <c r="H6" s="59">
        <v>43647</v>
      </c>
      <c r="I6" s="59">
        <v>43678</v>
      </c>
      <c r="J6" s="59">
        <v>43709</v>
      </c>
      <c r="K6" s="59">
        <v>43739</v>
      </c>
      <c r="L6" s="59">
        <v>43770</v>
      </c>
      <c r="M6" s="59">
        <v>43800</v>
      </c>
    </row>
    <row r="7" spans="1:13" x14ac:dyDescent="0.3">
      <c r="A7" s="61" t="s">
        <v>77</v>
      </c>
      <c r="B7">
        <v>8</v>
      </c>
      <c r="C7">
        <v>8</v>
      </c>
      <c r="D7">
        <v>8</v>
      </c>
      <c r="E7">
        <v>8</v>
      </c>
      <c r="F7">
        <v>8</v>
      </c>
      <c r="G7">
        <v>8</v>
      </c>
      <c r="H7">
        <v>8</v>
      </c>
      <c r="I7">
        <v>8</v>
      </c>
      <c r="J7">
        <v>8</v>
      </c>
      <c r="K7">
        <v>8</v>
      </c>
      <c r="L7">
        <v>8</v>
      </c>
      <c r="M7">
        <v>8</v>
      </c>
    </row>
    <row r="8" spans="1:13" x14ac:dyDescent="0.3">
      <c r="A8" s="60" t="s">
        <v>78</v>
      </c>
      <c r="C8">
        <v>12</v>
      </c>
    </row>
    <row r="9" spans="1:13" x14ac:dyDescent="0.3">
      <c r="A9" s="60"/>
    </row>
    <row r="10" spans="1:13" x14ac:dyDescent="0.3">
      <c r="A10" s="60" t="s">
        <v>4</v>
      </c>
      <c r="B10" s="59">
        <v>43466</v>
      </c>
      <c r="C10" s="59">
        <v>43497</v>
      </c>
      <c r="D10" s="59">
        <v>43525</v>
      </c>
      <c r="E10" s="59">
        <v>43556</v>
      </c>
      <c r="F10" s="59">
        <v>43586</v>
      </c>
      <c r="G10" s="59">
        <v>43617</v>
      </c>
      <c r="H10" s="59">
        <v>43647</v>
      </c>
      <c r="I10" s="59">
        <v>43678</v>
      </c>
      <c r="J10" s="59">
        <v>43709</v>
      </c>
      <c r="K10" s="59">
        <v>43739</v>
      </c>
      <c r="L10" s="59">
        <v>43770</v>
      </c>
      <c r="M10" s="59">
        <v>43800</v>
      </c>
    </row>
    <row r="11" spans="1:13" x14ac:dyDescent="0.3">
      <c r="A11" s="61" t="s">
        <v>79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3">
      <c r="A12" s="60" t="s">
        <v>80</v>
      </c>
      <c r="B12" s="2">
        <v>156000</v>
      </c>
      <c r="C12" s="2">
        <v>528000</v>
      </c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3">
      <c r="A13" s="60"/>
    </row>
    <row r="14" spans="1:13" x14ac:dyDescent="0.3">
      <c r="A14" s="60" t="s">
        <v>4</v>
      </c>
      <c r="B14" s="59">
        <v>43466</v>
      </c>
      <c r="C14" s="59">
        <v>43497</v>
      </c>
      <c r="D14" s="59">
        <v>43525</v>
      </c>
      <c r="E14" s="59">
        <v>43556</v>
      </c>
      <c r="F14" s="59">
        <v>43586</v>
      </c>
      <c r="G14" s="59">
        <v>43617</v>
      </c>
      <c r="H14" s="59">
        <v>43647</v>
      </c>
      <c r="I14" s="59">
        <v>43678</v>
      </c>
      <c r="J14" s="59">
        <v>43709</v>
      </c>
      <c r="K14" s="59">
        <v>43739</v>
      </c>
      <c r="L14" s="59">
        <v>43770</v>
      </c>
      <c r="M14" s="59">
        <v>43800</v>
      </c>
    </row>
    <row r="15" spans="1:13" x14ac:dyDescent="0.3">
      <c r="A15" s="60" t="s">
        <v>81</v>
      </c>
      <c r="B15" s="2">
        <v>180000</v>
      </c>
      <c r="C15" s="2">
        <v>180000</v>
      </c>
      <c r="D15" s="2">
        <v>180000</v>
      </c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3">
      <c r="A16" s="60" t="s">
        <v>82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3">
      <c r="A17" s="60"/>
    </row>
    <row r="18" spans="1:13" x14ac:dyDescent="0.3">
      <c r="A18" s="60" t="s">
        <v>4</v>
      </c>
      <c r="B18" s="59">
        <v>43466</v>
      </c>
      <c r="C18" s="59">
        <v>43497</v>
      </c>
      <c r="D18" s="59">
        <v>43525</v>
      </c>
      <c r="E18" s="59">
        <v>43556</v>
      </c>
      <c r="F18" s="59">
        <v>43586</v>
      </c>
      <c r="G18" s="59">
        <v>43617</v>
      </c>
      <c r="H18" s="59">
        <v>43647</v>
      </c>
      <c r="I18" s="59">
        <v>43678</v>
      </c>
      <c r="J18" s="59">
        <v>43709</v>
      </c>
      <c r="K18" s="59">
        <v>43739</v>
      </c>
      <c r="L18" s="59">
        <v>43770</v>
      </c>
      <c r="M18" s="59">
        <v>43800</v>
      </c>
    </row>
    <row r="19" spans="1:13" x14ac:dyDescent="0.3">
      <c r="A19" s="60" t="s">
        <v>83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3">
      <c r="A20" s="60" t="s">
        <v>84</v>
      </c>
      <c r="B20" s="2">
        <v>34000</v>
      </c>
      <c r="C20" s="2">
        <v>9000</v>
      </c>
      <c r="D20" s="2"/>
      <c r="E20" s="2"/>
      <c r="F20" s="2"/>
      <c r="G20" s="2"/>
      <c r="H20" s="2"/>
      <c r="I20" s="2"/>
      <c r="J20" s="2"/>
      <c r="K20" s="2"/>
      <c r="L20" s="2"/>
      <c r="M20" s="2"/>
    </row>
    <row r="24" spans="1:13" x14ac:dyDescent="0.3">
      <c r="L2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F3B24-D865-4CE7-AAE8-1B66817C117C}">
  <dimension ref="A1:B17"/>
  <sheetViews>
    <sheetView workbookViewId="0">
      <selection activeCell="B1" sqref="B1"/>
    </sheetView>
  </sheetViews>
  <sheetFormatPr defaultRowHeight="14.4" x14ac:dyDescent="0.3"/>
  <cols>
    <col min="1" max="1" width="21.6640625" bestFit="1" customWidth="1"/>
    <col min="2" max="2" width="12.6640625" customWidth="1"/>
  </cols>
  <sheetData>
    <row r="1" spans="1:2" x14ac:dyDescent="0.3">
      <c r="A1" t="s">
        <v>85</v>
      </c>
    </row>
    <row r="2" spans="1:2" x14ac:dyDescent="0.3">
      <c r="A2" t="s">
        <v>56</v>
      </c>
    </row>
    <row r="3" spans="1:2" x14ac:dyDescent="0.3">
      <c r="A3" t="s">
        <v>86</v>
      </c>
      <c r="B3">
        <f>B1-B2</f>
        <v>0</v>
      </c>
    </row>
    <row r="4" spans="1:2" x14ac:dyDescent="0.3">
      <c r="A4" t="s">
        <v>87</v>
      </c>
    </row>
    <row r="5" spans="1:2" x14ac:dyDescent="0.3">
      <c r="A5" t="s">
        <v>88</v>
      </c>
    </row>
    <row r="7" spans="1:2" x14ac:dyDescent="0.3">
      <c r="A7" t="s">
        <v>89</v>
      </c>
    </row>
    <row r="8" spans="1:2" x14ac:dyDescent="0.3">
      <c r="A8" t="s">
        <v>56</v>
      </c>
    </row>
    <row r="9" spans="1:2" x14ac:dyDescent="0.3">
      <c r="A9" t="s">
        <v>86</v>
      </c>
      <c r="B9">
        <f>B7-B8</f>
        <v>0</v>
      </c>
    </row>
    <row r="10" spans="1:2" x14ac:dyDescent="0.3">
      <c r="A10" t="s">
        <v>90</v>
      </c>
    </row>
    <row r="11" spans="1:2" x14ac:dyDescent="0.3">
      <c r="A11" t="s">
        <v>88</v>
      </c>
    </row>
    <row r="13" spans="1:2" x14ac:dyDescent="0.3">
      <c r="A13" t="s">
        <v>91</v>
      </c>
    </row>
    <row r="14" spans="1:2" x14ac:dyDescent="0.3">
      <c r="A14" t="s">
        <v>56</v>
      </c>
    </row>
    <row r="15" spans="1:2" x14ac:dyDescent="0.3">
      <c r="A15" t="s">
        <v>86</v>
      </c>
      <c r="B15">
        <f>B13-B14</f>
        <v>0</v>
      </c>
    </row>
    <row r="16" spans="1:2" x14ac:dyDescent="0.3">
      <c r="A16" t="s">
        <v>92</v>
      </c>
    </row>
    <row r="17" spans="1:1" x14ac:dyDescent="0.3">
      <c r="A17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Grant Jones 2019 Plan to Goal</vt:lpstr>
      <vt:lpstr>Income Calculator</vt:lpstr>
      <vt:lpstr>Grant Success Metrics</vt:lpstr>
      <vt:lpstr>Pipeline Coverage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Cocagne</dc:creator>
  <cp:lastModifiedBy>Grant Jones</cp:lastModifiedBy>
  <dcterms:created xsi:type="dcterms:W3CDTF">2018-12-27T14:33:46Z</dcterms:created>
  <dcterms:modified xsi:type="dcterms:W3CDTF">2019-09-13T20:02:17Z</dcterms:modified>
</cp:coreProperties>
</file>